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3235" windowHeight="11655"/>
  </bookViews>
  <sheets>
    <sheet name="land residual" sheetId="2" r:id="rId1"/>
    <sheet name="development profit" sheetId="5" r:id="rId2"/>
  </sheets>
  <calcPr calcId="145621" concurrentCalc="0"/>
</workbook>
</file>

<file path=xl/calcChain.xml><?xml version="1.0" encoding="utf-8"?>
<calcChain xmlns="http://schemas.openxmlformats.org/spreadsheetml/2006/main">
  <c r="B29" i="5" l="1"/>
  <c r="B30" i="5"/>
  <c r="B66" i="5"/>
  <c r="B83" i="5"/>
  <c r="B81" i="5"/>
  <c r="B80" i="5"/>
  <c r="B77" i="5"/>
  <c r="B75" i="5"/>
  <c r="B74" i="5"/>
  <c r="B73" i="5"/>
  <c r="B72" i="5"/>
  <c r="B70" i="5"/>
  <c r="B71" i="5"/>
  <c r="B18" i="5"/>
  <c r="B76" i="5"/>
  <c r="B16" i="5"/>
  <c r="D24" i="5"/>
  <c r="B13" i="5"/>
  <c r="B59" i="5"/>
  <c r="B65" i="5"/>
  <c r="B67" i="5"/>
  <c r="B78" i="5"/>
  <c r="B79" i="5"/>
  <c r="B20" i="5"/>
  <c r="B82" i="5"/>
  <c r="B21" i="5"/>
  <c r="B58" i="5"/>
  <c r="B22" i="5"/>
  <c r="E44" i="5"/>
  <c r="B23" i="5"/>
  <c r="B84" i="5"/>
  <c r="B85" i="5"/>
  <c r="B86" i="5"/>
  <c r="B60" i="5"/>
  <c r="B61" i="5"/>
  <c r="B88" i="5"/>
  <c r="B90" i="5"/>
  <c r="B91" i="5"/>
  <c r="B73" i="2"/>
  <c r="B67" i="2"/>
  <c r="B61" i="2"/>
  <c r="A78" i="2"/>
  <c r="B71" i="2"/>
  <c r="B70" i="2"/>
  <c r="B64" i="2"/>
  <c r="B60" i="2"/>
  <c r="B13" i="2"/>
  <c r="B55" i="2"/>
  <c r="B16" i="2"/>
  <c r="D24" i="2"/>
  <c r="B18" i="2"/>
  <c r="B72" i="2"/>
  <c r="B62" i="2"/>
  <c r="B63" i="2"/>
  <c r="B20" i="2"/>
  <c r="E39" i="2"/>
  <c r="B22" i="2"/>
  <c r="B23" i="2"/>
  <c r="B21" i="2"/>
  <c r="B54" i="2"/>
  <c r="B78" i="2"/>
  <c r="B66" i="2"/>
  <c r="B56" i="2"/>
  <c r="B68" i="2"/>
  <c r="B57" i="2"/>
  <c r="B69" i="2"/>
  <c r="B74" i="2"/>
  <c r="B75" i="2"/>
  <c r="B76" i="2"/>
  <c r="B80" i="2"/>
  <c r="B81" i="2"/>
  <c r="D47" i="2"/>
  <c r="B82" i="2"/>
  <c r="B83" i="2"/>
  <c r="B86" i="2"/>
  <c r="B85" i="2"/>
</calcChain>
</file>

<file path=xl/sharedStrings.xml><?xml version="1.0" encoding="utf-8"?>
<sst xmlns="http://schemas.openxmlformats.org/spreadsheetml/2006/main" count="275" uniqueCount="129">
  <si>
    <t>NOTES</t>
  </si>
  <si>
    <t xml:space="preserve">District of North Vancouver </t>
  </si>
  <si>
    <t xml:space="preserve">Butterfield Development Consultants (Aug 2011) Medium Quality Construction for North Vancouver </t>
  </si>
  <si>
    <t>Major Assumptions (shading indicates figures that are inputs; unshaded cells are formulas)</t>
  </si>
  <si>
    <r>
      <t>Estimated Cost per square foot:</t>
    </r>
    <r>
      <rPr>
        <sz val="9"/>
        <rFont val="Arial"/>
        <family val="2"/>
      </rPr>
      <t> </t>
    </r>
    <r>
      <rPr>
        <b/>
        <sz val="9"/>
        <rFont val="Arial"/>
        <family val="2"/>
      </rPr>
      <t>$219.00 (cdn)</t>
    </r>
  </si>
  <si>
    <t>Concrete Residences up to 12 Storeys, Above Ground Parking, Up to 1000 s.f.</t>
  </si>
  <si>
    <t>Revenue and Value</t>
  </si>
  <si>
    <r>
      <t>Estimated Cost per square foot:</t>
    </r>
    <r>
      <rPr>
        <sz val="9"/>
        <rFont val="Arial"/>
        <family val="2"/>
      </rPr>
      <t> </t>
    </r>
    <r>
      <rPr>
        <b/>
        <sz val="9"/>
        <rFont val="Arial"/>
        <family val="2"/>
      </rPr>
      <t>$210.00 (cdn)</t>
    </r>
  </si>
  <si>
    <t>Average Sales Price Per Sq. Ft.</t>
  </si>
  <si>
    <t xml:space="preserve">per sq.ft. of net saleable residential space </t>
  </si>
  <si>
    <t>Concrete Residences up to 12 Storeys, Below Ground Parking, Up to 1000 s.f.</t>
  </si>
  <si>
    <t>Average Retail Lease Rate for Retail Space</t>
  </si>
  <si>
    <t>per sq. ft. net for shell space, no TI's</t>
  </si>
  <si>
    <r>
      <t>Estimated Cost per square foot: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$220.00 (cdn)</t>
    </r>
  </si>
  <si>
    <t>Capitalization Rate for Retail Space</t>
  </si>
  <si>
    <t>Framed Apartment, With Above Ground Concrete Parking Structure, Up to 1000 s.f.</t>
  </si>
  <si>
    <t>Value of Retail Space on Lease Up</t>
  </si>
  <si>
    <t>per sq. ft. of leasable area</t>
  </si>
  <si>
    <r>
      <t>Estimated Cost per square foot: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$130.00 (cdn)</t>
    </r>
  </si>
  <si>
    <t>Framed Apartment, With Below Ground Concrete Parking Structure, Up to 1000 s.f.</t>
  </si>
  <si>
    <t>Site and Building Size</t>
  </si>
  <si>
    <r>
      <t>Estimated Cost per square foot: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$135.00 (cdn)</t>
    </r>
  </si>
  <si>
    <t>Site Size</t>
  </si>
  <si>
    <t>acres or</t>
  </si>
  <si>
    <t xml:space="preserve">sq. ft. </t>
  </si>
  <si>
    <t>Mixed Use: Commercial/Residential, Without Underground Parking, Up to 1000 s.f.</t>
  </si>
  <si>
    <t>FAR</t>
  </si>
  <si>
    <t>Total Assumed Density</t>
  </si>
  <si>
    <t>TownHouses, Over Common Parking Structure, Up to 1200 s.f.</t>
  </si>
  <si>
    <t>Total Floorspace</t>
  </si>
  <si>
    <t>sq.ft.</t>
  </si>
  <si>
    <r>
      <t>Estimated Cost per square foot: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$140.00 (cdn)</t>
    </r>
  </si>
  <si>
    <t>Retail Floorspace</t>
  </si>
  <si>
    <t>TownHouses, With Concrete Basement, Up to 1200 s.f.</t>
  </si>
  <si>
    <t>Gross Residential Floorspace</t>
  </si>
  <si>
    <t xml:space="preserve">sq.ft. </t>
  </si>
  <si>
    <t>Net Residential Floorspace</t>
  </si>
  <si>
    <t>Average Gross Unit Size</t>
  </si>
  <si>
    <t>Colliers Q2 2011 Multifamily Market Summary-North and West Vancouver</t>
  </si>
  <si>
    <t>Average Net Unit Size</t>
  </si>
  <si>
    <t>of gross area</t>
  </si>
  <si>
    <t>High Rise: $575-$625 per square foot</t>
  </si>
  <si>
    <t>Number of Units</t>
  </si>
  <si>
    <t>units or</t>
  </si>
  <si>
    <t>units per acre</t>
  </si>
  <si>
    <t>Low Rise: $500-$540 per square foot</t>
  </si>
  <si>
    <t>stalls</t>
  </si>
  <si>
    <r>
      <rPr>
        <b/>
        <sz val="10"/>
        <rFont val="Arial"/>
        <family val="2"/>
      </rPr>
      <t>Lulu Isl. W.</t>
    </r>
    <r>
      <rPr>
        <sz val="10"/>
        <rFont val="Arial"/>
        <family val="2"/>
      </rPr>
      <t>- TH: $942 per unit, Apt: $673 per unit, Non-residential: $0.505 psf.</t>
    </r>
  </si>
  <si>
    <r>
      <rPr>
        <b/>
        <sz val="10"/>
        <rFont val="Arial"/>
        <family val="2"/>
      </rPr>
      <t>N.S.</t>
    </r>
    <r>
      <rPr>
        <sz val="10"/>
        <rFont val="Arial"/>
        <family val="2"/>
      </rPr>
      <t xml:space="preserve">- TH: $1,129 per unit, Apt: $807 per unit, Non-residential: $0.443 psf. </t>
    </r>
  </si>
  <si>
    <t>Construction Costs</t>
  </si>
  <si>
    <t>Allowance for Demolition of Existing Buildings</t>
  </si>
  <si>
    <t>School Site Acquisition Charge -  n/a</t>
  </si>
  <si>
    <t>On-Site Servicing (3)</t>
  </si>
  <si>
    <t xml:space="preserve">Other Predevelopment Costs </t>
  </si>
  <si>
    <t>Water, Storm, Sanitary Connections (Includes water meter, if applicable)</t>
  </si>
  <si>
    <t>Public Art Contribution</t>
  </si>
  <si>
    <t>Hard Construction Costs</t>
  </si>
  <si>
    <t xml:space="preserve">per gross sq.ft. </t>
  </si>
  <si>
    <t>CAC Negotiated</t>
  </si>
  <si>
    <t>Landscaping</t>
  </si>
  <si>
    <t>Sites in the remainder:</t>
  </si>
  <si>
    <t>of hard costs, servicing, landscaping</t>
  </si>
  <si>
    <t>Townhouse, duplex, triplex, or similar: $5.00 PSF</t>
  </si>
  <si>
    <t>Contingency on Hard and Soft Costs</t>
  </si>
  <si>
    <t>of hard and soft costs</t>
  </si>
  <si>
    <t>Apartment: $15.00 PSF</t>
  </si>
  <si>
    <t>Metro Vancouver DCC Charge  (Water, Sewer for North Shore)</t>
  </si>
  <si>
    <t>per unit</t>
  </si>
  <si>
    <t xml:space="preserve">School Site Acquisition Charge </t>
  </si>
  <si>
    <t xml:space="preserve">District of North Vancouver DCC </t>
  </si>
  <si>
    <t xml:space="preserve">Municipal DCCs </t>
  </si>
  <si>
    <t>per sq.ft. of building area</t>
  </si>
  <si>
    <t>or</t>
  </si>
  <si>
    <t>per average unit</t>
  </si>
  <si>
    <t>Multifamily residential:$7.276 per square foot</t>
  </si>
  <si>
    <t>Interim Financing on Construction Costs</t>
  </si>
  <si>
    <t xml:space="preserve">on 50% of hard and soft costs, assuming </t>
  </si>
  <si>
    <t>year construction period</t>
  </si>
  <si>
    <t>Financing Fees</t>
  </si>
  <si>
    <t>Other Costs and Allowances</t>
  </si>
  <si>
    <t>Rezoning Costs</t>
  </si>
  <si>
    <t>Marketing and Commissions</t>
  </si>
  <si>
    <t>of gross residential revenue</t>
  </si>
  <si>
    <t>of commercial value</t>
  </si>
  <si>
    <t>Developer's Profit</t>
  </si>
  <si>
    <t xml:space="preserve">of gross revenue, or </t>
  </si>
  <si>
    <t>of total costs</t>
  </si>
  <si>
    <t>Residential Property Taxes</t>
  </si>
  <si>
    <t>of assessed value</t>
  </si>
  <si>
    <t>Commercial Property Taxes</t>
  </si>
  <si>
    <t>Analysis</t>
  </si>
  <si>
    <t>Revenue</t>
  </si>
  <si>
    <t>Gross Multi-family Sales Revenue</t>
  </si>
  <si>
    <t>Capitalized Value of Retail Space</t>
  </si>
  <si>
    <t>Less Marketing and Commissions</t>
  </si>
  <si>
    <t>Net Sales Revenue</t>
  </si>
  <si>
    <t>On-Site Servicing (Upgrade of Adjacent Roads/Sidewalks/etc)</t>
  </si>
  <si>
    <t>Soft Costs</t>
  </si>
  <si>
    <t>Interim Financing</t>
  </si>
  <si>
    <t>Financing Fees/Costs</t>
  </si>
  <si>
    <t>Total Construction Costs</t>
  </si>
  <si>
    <t>Less Interim Financing on Land (approvals/presales/construction)</t>
  </si>
  <si>
    <t>Less Property Purchase Tax</t>
  </si>
  <si>
    <t>Residual Land Value</t>
  </si>
  <si>
    <t>Residual Value per sq.ft. of Site</t>
  </si>
  <si>
    <t>Residual Value per Square Foot Buildable</t>
  </si>
  <si>
    <t>Notes:</t>
  </si>
  <si>
    <t>Woodframe Apartment with Underground Parking - "Low Density Apartment" Designation - 1.75 FSR</t>
  </si>
  <si>
    <t>Total Parking Stalls</t>
  </si>
  <si>
    <t>Demolition of Existing Buildings</t>
  </si>
  <si>
    <t>Other Predevelopment Costs</t>
  </si>
  <si>
    <t>Water, Storm, Sanitary Connections</t>
  </si>
  <si>
    <t xml:space="preserve">Metro Vancouver DCC Charge </t>
  </si>
  <si>
    <t>Residual to Land Value and Land Carrying Costs</t>
  </si>
  <si>
    <t>Property Transfer Tax</t>
  </si>
  <si>
    <t xml:space="preserve">Property Taxes </t>
  </si>
  <si>
    <t>Sample Land Residual Proforma - All figures are Hypothetical for Illustrative Purposes Only</t>
  </si>
  <si>
    <t>Soft costs allow for permits, design, engineering, legal, survey, insurance, project management, consultants, warranties, deficiencies, misc.</t>
  </si>
  <si>
    <t>Exhibit 1</t>
  </si>
  <si>
    <t>Exhibit 2</t>
  </si>
  <si>
    <t>Sample Developer's Proforma - All figures are Hypothetical for Illustrative Purposes Only</t>
  </si>
  <si>
    <t>Land Acquisition Cost</t>
  </si>
  <si>
    <t>Land Related Costs</t>
  </si>
  <si>
    <t>Financing Costs on Land Acquistion</t>
  </si>
  <si>
    <t>Subtotal - Construction Costs</t>
  </si>
  <si>
    <t>Subtotal - Land and Related Costs</t>
  </si>
  <si>
    <t>Profit Margin on Costs</t>
  </si>
  <si>
    <t>Profit Margin on Revenues/Value</t>
  </si>
  <si>
    <t>Site/Project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</si>
</sst>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&quot;$&quot;#,##0"/>
    <numFmt numFmtId="168" formatCode="0.0%"/>
    <numFmt numFmtId="169" formatCode="_(&quot;$&quot;* #,##0_);_(&quot;$&quot;* \(#,##0\);_(&quot;$&quot;* &quot;-&quot;??_);_(@_)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0" fontId="3" fillId="0" borderId="0" xfId="3" applyNumberFormat="1" applyFont="1"/>
    <xf numFmtId="0" fontId="3" fillId="0" borderId="0" xfId="0" applyFont="1"/>
    <xf numFmtId="10" fontId="4" fillId="0" borderId="0" xfId="3" applyNumberFormat="1" applyFont="1"/>
    <xf numFmtId="0" fontId="3" fillId="0" borderId="1" xfId="0" applyFont="1" applyBorder="1" applyAlignment="1">
      <alignment wrapText="1"/>
    </xf>
    <xf numFmtId="0" fontId="3" fillId="0" borderId="0" xfId="1" applyNumberFormat="1" applyFont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/>
    <xf numFmtId="166" fontId="3" fillId="0" borderId="0" xfId="0" applyNumberFormat="1" applyFont="1"/>
    <xf numFmtId="167" fontId="3" fillId="2" borderId="0" xfId="0" applyNumberFormat="1" applyFont="1" applyFill="1"/>
    <xf numFmtId="168" fontId="3" fillId="2" borderId="0" xfId="3" applyNumberFormat="1" applyFont="1" applyFill="1"/>
    <xf numFmtId="0" fontId="3" fillId="3" borderId="0" xfId="0" applyFont="1" applyFill="1"/>
    <xf numFmtId="43" fontId="3" fillId="3" borderId="0" xfId="1" applyNumberFormat="1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/>
    <xf numFmtId="3" fontId="3" fillId="3" borderId="0" xfId="0" applyNumberFormat="1" applyFont="1" applyFill="1"/>
    <xf numFmtId="0" fontId="6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7" fontId="3" fillId="3" borderId="0" xfId="0" applyNumberFormat="1" applyFont="1" applyFill="1"/>
    <xf numFmtId="166" fontId="3" fillId="2" borderId="0" xfId="0" applyNumberFormat="1" applyFont="1" applyFill="1"/>
    <xf numFmtId="166" fontId="3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166" fontId="3" fillId="3" borderId="0" xfId="0" applyNumberFormat="1" applyFont="1" applyFill="1"/>
    <xf numFmtId="169" fontId="3" fillId="0" borderId="0" xfId="2" applyNumberFormat="1" applyFont="1" applyFill="1"/>
    <xf numFmtId="170" fontId="3" fillId="3" borderId="0" xfId="0" applyNumberFormat="1" applyFont="1" applyFill="1"/>
    <xf numFmtId="10" fontId="3" fillId="2" borderId="0" xfId="3" applyNumberFormat="1" applyFont="1" applyFill="1"/>
    <xf numFmtId="9" fontId="3" fillId="0" borderId="0" xfId="3" applyFont="1"/>
    <xf numFmtId="167" fontId="3" fillId="0" borderId="0" xfId="0" applyNumberFormat="1" applyFont="1"/>
    <xf numFmtId="168" fontId="3" fillId="0" borderId="0" xfId="3" applyNumberFormat="1" applyFont="1" applyFill="1"/>
    <xf numFmtId="167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3" fillId="0" borderId="0" xfId="0" applyFont="1" applyBorder="1"/>
    <xf numFmtId="167" fontId="3" fillId="0" borderId="0" xfId="0" applyNumberFormat="1" applyFont="1" applyAlignment="1">
      <alignment horizontal="left"/>
    </xf>
    <xf numFmtId="168" fontId="2" fillId="0" borderId="0" xfId="3" applyNumberFormat="1" applyFont="1" applyAlignment="1">
      <alignment horizontal="right"/>
    </xf>
    <xf numFmtId="0" fontId="3" fillId="0" borderId="2" xfId="0" applyFont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topLeftCell="A50" workbookViewId="0">
      <selection activeCell="B61" sqref="B61"/>
    </sheetView>
  </sheetViews>
  <sheetFormatPr defaultRowHeight="12.75" x14ac:dyDescent="0.2"/>
  <cols>
    <col min="1" max="1" width="64.28515625" style="3" customWidth="1"/>
    <col min="2" max="2" width="14.5703125" style="3" customWidth="1"/>
    <col min="3" max="3" width="35" style="3" customWidth="1"/>
    <col min="4" max="4" width="11.140625" style="3" bestFit="1" customWidth="1"/>
    <col min="5" max="5" width="8.140625" style="3" customWidth="1"/>
    <col min="6" max="6" width="21.42578125" style="3" customWidth="1"/>
    <col min="7" max="7" width="64.28515625" style="3" hidden="1" customWidth="1"/>
    <col min="8" max="16384" width="9.140625" style="3"/>
  </cols>
  <sheetData>
    <row r="1" spans="1:7" x14ac:dyDescent="0.2">
      <c r="A1" s="1" t="s">
        <v>118</v>
      </c>
    </row>
    <row r="2" spans="1:7" x14ac:dyDescent="0.2">
      <c r="A2" s="1" t="s">
        <v>116</v>
      </c>
      <c r="B2" s="2"/>
      <c r="C2" s="2"/>
      <c r="D2" s="2"/>
      <c r="E2" s="2"/>
      <c r="F2" s="2"/>
      <c r="G2" s="1" t="s">
        <v>0</v>
      </c>
    </row>
    <row r="3" spans="1:7" ht="13.5" thickBot="1" x14ac:dyDescent="0.25">
      <c r="A3" s="1" t="s">
        <v>107</v>
      </c>
      <c r="B3" s="2"/>
      <c r="C3" s="2"/>
      <c r="D3" s="2"/>
      <c r="E3" s="2"/>
      <c r="F3" s="2"/>
    </row>
    <row r="4" spans="1:7" ht="12.75" customHeight="1" x14ac:dyDescent="0.2">
      <c r="A4" s="1" t="s">
        <v>1</v>
      </c>
      <c r="B4" s="4"/>
      <c r="C4" s="2"/>
      <c r="D4" s="2"/>
      <c r="E4" s="2"/>
      <c r="F4" s="2"/>
      <c r="G4" s="5" t="s">
        <v>2</v>
      </c>
    </row>
    <row r="5" spans="1:7" ht="12.75" customHeight="1" x14ac:dyDescent="0.2">
      <c r="A5" s="1" t="s">
        <v>128</v>
      </c>
      <c r="B5" s="4"/>
      <c r="C5" s="2"/>
      <c r="D5" s="2"/>
      <c r="E5" s="2"/>
      <c r="F5" s="2"/>
      <c r="G5" s="45"/>
    </row>
    <row r="6" spans="1:7" x14ac:dyDescent="0.2">
      <c r="B6" s="6"/>
      <c r="C6" s="2"/>
      <c r="D6" s="2"/>
      <c r="E6" s="2"/>
      <c r="F6" s="2"/>
      <c r="G6" s="7"/>
    </row>
    <row r="7" spans="1:7" x14ac:dyDescent="0.2">
      <c r="A7" s="9" t="s">
        <v>3</v>
      </c>
      <c r="B7" s="1"/>
      <c r="G7" s="8" t="s">
        <v>4</v>
      </c>
    </row>
    <row r="8" spans="1:7" x14ac:dyDescent="0.2">
      <c r="A8" s="1"/>
      <c r="B8" s="1"/>
      <c r="G8" s="8" t="s">
        <v>5</v>
      </c>
    </row>
    <row r="9" spans="1:7" x14ac:dyDescent="0.2">
      <c r="A9" s="1" t="s">
        <v>6</v>
      </c>
      <c r="B9" s="1"/>
      <c r="D9" s="10"/>
      <c r="G9" s="8" t="s">
        <v>7</v>
      </c>
    </row>
    <row r="10" spans="1:7" x14ac:dyDescent="0.2">
      <c r="A10" s="3" t="s">
        <v>8</v>
      </c>
      <c r="B10" s="11">
        <v>525</v>
      </c>
      <c r="C10" s="10" t="s">
        <v>9</v>
      </c>
      <c r="G10" s="7" t="s">
        <v>10</v>
      </c>
    </row>
    <row r="11" spans="1:7" x14ac:dyDescent="0.2">
      <c r="A11" s="3" t="s">
        <v>11</v>
      </c>
      <c r="B11" s="11">
        <v>0</v>
      </c>
      <c r="C11" s="10" t="s">
        <v>12</v>
      </c>
      <c r="G11" s="8" t="s">
        <v>13</v>
      </c>
    </row>
    <row r="12" spans="1:7" x14ac:dyDescent="0.2">
      <c r="A12" s="3" t="s">
        <v>14</v>
      </c>
      <c r="B12" s="12">
        <v>6.5000000000000002E-2</v>
      </c>
      <c r="C12" s="10"/>
      <c r="G12" s="7" t="s">
        <v>15</v>
      </c>
    </row>
    <row r="13" spans="1:7" x14ac:dyDescent="0.2">
      <c r="A13" s="3" t="s">
        <v>16</v>
      </c>
      <c r="B13" s="11">
        <f>B11/B12</f>
        <v>0</v>
      </c>
      <c r="C13" s="10" t="s">
        <v>17</v>
      </c>
      <c r="G13" s="8" t="s">
        <v>18</v>
      </c>
    </row>
    <row r="14" spans="1:7" x14ac:dyDescent="0.2">
      <c r="C14" s="10"/>
      <c r="G14" s="7" t="s">
        <v>19</v>
      </c>
    </row>
    <row r="15" spans="1:7" x14ac:dyDescent="0.2">
      <c r="A15" s="1" t="s">
        <v>20</v>
      </c>
      <c r="G15" s="8" t="s">
        <v>21</v>
      </c>
    </row>
    <row r="16" spans="1:7" x14ac:dyDescent="0.2">
      <c r="A16" s="3" t="s">
        <v>22</v>
      </c>
      <c r="B16" s="14">
        <f>D16/43560</f>
        <v>0.4591368227731864</v>
      </c>
      <c r="C16" s="3" t="s">
        <v>23</v>
      </c>
      <c r="D16" s="15">
        <v>20000</v>
      </c>
      <c r="E16" s="3" t="s">
        <v>24</v>
      </c>
      <c r="G16" s="7" t="s">
        <v>25</v>
      </c>
    </row>
    <row r="17" spans="1:7" x14ac:dyDescent="0.2">
      <c r="A17" s="3" t="s">
        <v>27</v>
      </c>
      <c r="B17" s="14">
        <v>1.75</v>
      </c>
      <c r="C17" s="3" t="s">
        <v>26</v>
      </c>
      <c r="G17" s="7" t="s">
        <v>28</v>
      </c>
    </row>
    <row r="18" spans="1:7" x14ac:dyDescent="0.2">
      <c r="A18" s="3" t="s">
        <v>29</v>
      </c>
      <c r="B18" s="16">
        <f>D16*B17</f>
        <v>35000</v>
      </c>
      <c r="C18" s="3" t="s">
        <v>30</v>
      </c>
      <c r="G18" s="8" t="s">
        <v>31</v>
      </c>
    </row>
    <row r="19" spans="1:7" x14ac:dyDescent="0.2">
      <c r="A19" s="3" t="s">
        <v>32</v>
      </c>
      <c r="B19" s="17">
        <v>0</v>
      </c>
      <c r="C19" s="3" t="s">
        <v>30</v>
      </c>
      <c r="G19" s="7" t="s">
        <v>33</v>
      </c>
    </row>
    <row r="20" spans="1:7" ht="13.5" thickBot="1" x14ac:dyDescent="0.25">
      <c r="A20" s="3" t="s">
        <v>34</v>
      </c>
      <c r="B20" s="16">
        <f>B18-B19</f>
        <v>35000</v>
      </c>
      <c r="C20" s="3" t="s">
        <v>35</v>
      </c>
      <c r="G20" s="18" t="s">
        <v>18</v>
      </c>
    </row>
    <row r="21" spans="1:7" ht="13.5" thickBot="1" x14ac:dyDescent="0.25">
      <c r="A21" s="3" t="s">
        <v>36</v>
      </c>
      <c r="B21" s="16">
        <f>B20*D23</f>
        <v>29750</v>
      </c>
      <c r="C21" s="3" t="s">
        <v>30</v>
      </c>
    </row>
    <row r="22" spans="1:7" x14ac:dyDescent="0.2">
      <c r="A22" s="3" t="s">
        <v>37</v>
      </c>
      <c r="B22" s="16">
        <f>B20/B24</f>
        <v>714.28571428571433</v>
      </c>
      <c r="C22" s="3" t="s">
        <v>30</v>
      </c>
      <c r="D22" s="2"/>
      <c r="G22" s="19" t="s">
        <v>38</v>
      </c>
    </row>
    <row r="23" spans="1:7" x14ac:dyDescent="0.2">
      <c r="A23" s="3" t="s">
        <v>39</v>
      </c>
      <c r="B23" s="16">
        <f>(B20*D23)/B24</f>
        <v>607.14285714285711</v>
      </c>
      <c r="C23" s="3" t="s">
        <v>30</v>
      </c>
      <c r="D23" s="12">
        <v>0.85</v>
      </c>
      <c r="E23" s="3" t="s">
        <v>40</v>
      </c>
      <c r="G23" s="20" t="s">
        <v>41</v>
      </c>
    </row>
    <row r="24" spans="1:7" x14ac:dyDescent="0.2">
      <c r="A24" s="3" t="s">
        <v>42</v>
      </c>
      <c r="B24" s="13">
        <v>49</v>
      </c>
      <c r="C24" s="3" t="s">
        <v>43</v>
      </c>
      <c r="D24" s="15">
        <f>B24/B16</f>
        <v>106.72200000000001</v>
      </c>
      <c r="E24" s="3" t="s">
        <v>44</v>
      </c>
      <c r="G24" s="20" t="s">
        <v>45</v>
      </c>
    </row>
    <row r="25" spans="1:7" x14ac:dyDescent="0.2">
      <c r="A25" s="3" t="s">
        <v>108</v>
      </c>
      <c r="B25" s="13">
        <v>82</v>
      </c>
      <c r="C25" s="3" t="s">
        <v>46</v>
      </c>
      <c r="D25" s="16"/>
      <c r="G25" s="20" t="s">
        <v>47</v>
      </c>
    </row>
    <row r="26" spans="1:7" ht="13.5" thickBot="1" x14ac:dyDescent="0.25">
      <c r="B26" s="16"/>
      <c r="D26" s="16"/>
      <c r="G26" s="21" t="s">
        <v>48</v>
      </c>
    </row>
    <row r="27" spans="1:7" ht="13.5" thickBot="1" x14ac:dyDescent="0.25">
      <c r="A27" s="1" t="s">
        <v>49</v>
      </c>
    </row>
    <row r="28" spans="1:7" x14ac:dyDescent="0.2">
      <c r="A28" s="3" t="s">
        <v>50</v>
      </c>
      <c r="B28" s="22">
        <v>20000</v>
      </c>
      <c r="G28" s="19" t="s">
        <v>51</v>
      </c>
    </row>
    <row r="29" spans="1:7" x14ac:dyDescent="0.2">
      <c r="A29" s="3" t="s">
        <v>52</v>
      </c>
      <c r="B29" s="11">
        <v>75000</v>
      </c>
    </row>
    <row r="30" spans="1:7" x14ac:dyDescent="0.2">
      <c r="A30" s="3" t="s">
        <v>53</v>
      </c>
      <c r="B30" s="11">
        <v>0</v>
      </c>
    </row>
    <row r="31" spans="1:7" x14ac:dyDescent="0.2">
      <c r="A31" s="3" t="s">
        <v>54</v>
      </c>
      <c r="B31" s="11">
        <v>20000</v>
      </c>
      <c r="G31" s="20"/>
    </row>
    <row r="32" spans="1:7" x14ac:dyDescent="0.2">
      <c r="A32" s="3" t="s">
        <v>55</v>
      </c>
      <c r="B32" s="11">
        <v>10000</v>
      </c>
      <c r="G32" s="20"/>
    </row>
    <row r="33" spans="1:7" x14ac:dyDescent="0.2">
      <c r="A33" s="3" t="s">
        <v>56</v>
      </c>
      <c r="B33" s="11">
        <v>175</v>
      </c>
      <c r="C33" s="3" t="s">
        <v>57</v>
      </c>
      <c r="G33" s="25" t="s">
        <v>58</v>
      </c>
    </row>
    <row r="34" spans="1:7" x14ac:dyDescent="0.2">
      <c r="A34" s="3" t="s">
        <v>59</v>
      </c>
      <c r="B34" s="11">
        <v>50000</v>
      </c>
      <c r="G34" s="20" t="s">
        <v>60</v>
      </c>
    </row>
    <row r="35" spans="1:7" x14ac:dyDescent="0.2">
      <c r="A35" s="3" t="s">
        <v>97</v>
      </c>
      <c r="B35" s="12">
        <v>0.12</v>
      </c>
      <c r="C35" s="3" t="s">
        <v>61</v>
      </c>
      <c r="G35" s="25" t="s">
        <v>62</v>
      </c>
    </row>
    <row r="36" spans="1:7" ht="13.5" thickBot="1" x14ac:dyDescent="0.25">
      <c r="A36" s="3" t="s">
        <v>63</v>
      </c>
      <c r="B36" s="12">
        <v>0.05</v>
      </c>
      <c r="C36" s="3" t="s">
        <v>64</v>
      </c>
      <c r="G36" s="26" t="s">
        <v>65</v>
      </c>
    </row>
    <row r="37" spans="1:7" ht="13.5" thickBot="1" x14ac:dyDescent="0.25">
      <c r="A37" s="3" t="s">
        <v>66</v>
      </c>
      <c r="B37" s="23">
        <v>807</v>
      </c>
      <c r="C37" s="3" t="s">
        <v>67</v>
      </c>
    </row>
    <row r="38" spans="1:7" x14ac:dyDescent="0.2">
      <c r="A38" s="3" t="s">
        <v>68</v>
      </c>
      <c r="B38" s="23">
        <v>0</v>
      </c>
      <c r="C38" s="3" t="s">
        <v>67</v>
      </c>
      <c r="G38" s="19" t="s">
        <v>69</v>
      </c>
    </row>
    <row r="39" spans="1:7" ht="13.5" thickBot="1" x14ac:dyDescent="0.25">
      <c r="A39" s="3" t="s">
        <v>70</v>
      </c>
      <c r="B39" s="27">
        <v>7.2759999999999998</v>
      </c>
      <c r="C39" s="3" t="s">
        <v>71</v>
      </c>
      <c r="D39" s="3" t="s">
        <v>72</v>
      </c>
      <c r="E39" s="28">
        <f>B39*(B20/B24)</f>
        <v>5197.1428571428578</v>
      </c>
      <c r="F39" s="10" t="s">
        <v>73</v>
      </c>
      <c r="G39" s="21" t="s">
        <v>74</v>
      </c>
    </row>
    <row r="40" spans="1:7" x14ac:dyDescent="0.2">
      <c r="A40" s="3" t="s">
        <v>75</v>
      </c>
      <c r="B40" s="12">
        <v>0.06</v>
      </c>
      <c r="C40" s="3" t="s">
        <v>76</v>
      </c>
      <c r="D40" s="29">
        <v>1.5</v>
      </c>
      <c r="E40" s="3" t="s">
        <v>77</v>
      </c>
    </row>
    <row r="41" spans="1:7" x14ac:dyDescent="0.2">
      <c r="A41" s="3" t="s">
        <v>78</v>
      </c>
      <c r="B41" s="30">
        <v>7.4999999999999997E-3</v>
      </c>
      <c r="C41" s="31" t="s">
        <v>64</v>
      </c>
    </row>
    <row r="42" spans="1:7" x14ac:dyDescent="0.2">
      <c r="B42" s="32"/>
      <c r="C42" s="31"/>
    </row>
    <row r="43" spans="1:7" x14ac:dyDescent="0.2">
      <c r="A43" s="1" t="s">
        <v>79</v>
      </c>
      <c r="B43" s="32"/>
    </row>
    <row r="44" spans="1:7" x14ac:dyDescent="0.2">
      <c r="A44" s="3" t="s">
        <v>80</v>
      </c>
      <c r="B44" s="11">
        <v>100000</v>
      </c>
    </row>
    <row r="45" spans="1:7" x14ac:dyDescent="0.2">
      <c r="A45" s="3" t="s">
        <v>81</v>
      </c>
      <c r="B45" s="12">
        <v>0.05</v>
      </c>
      <c r="C45" s="3" t="s">
        <v>82</v>
      </c>
    </row>
    <row r="46" spans="1:7" x14ac:dyDescent="0.2">
      <c r="B46" s="12">
        <v>0</v>
      </c>
      <c r="C46" s="3" t="s">
        <v>83</v>
      </c>
    </row>
    <row r="47" spans="1:7" x14ac:dyDescent="0.2">
      <c r="A47" s="3" t="s">
        <v>84</v>
      </c>
      <c r="B47" s="12">
        <v>0.15</v>
      </c>
      <c r="C47" s="3" t="s">
        <v>85</v>
      </c>
      <c r="D47" s="33">
        <f>B78/(B56+B76+B80)</f>
        <v>0.17647058823529413</v>
      </c>
      <c r="E47" s="3" t="s">
        <v>86</v>
      </c>
    </row>
    <row r="48" spans="1:7" x14ac:dyDescent="0.2">
      <c r="A48" s="3" t="s">
        <v>87</v>
      </c>
      <c r="B48" s="11">
        <v>28000</v>
      </c>
      <c r="C48" s="3" t="s">
        <v>88</v>
      </c>
    </row>
    <row r="49" spans="1:4" x14ac:dyDescent="0.2">
      <c r="A49" s="3" t="s">
        <v>89</v>
      </c>
      <c r="B49" s="11">
        <v>0</v>
      </c>
      <c r="C49" s="3" t="s">
        <v>88</v>
      </c>
    </row>
    <row r="50" spans="1:4" x14ac:dyDescent="0.2">
      <c r="B50" s="31"/>
    </row>
    <row r="51" spans="1:4" x14ac:dyDescent="0.2">
      <c r="A51" s="9" t="s">
        <v>90</v>
      </c>
      <c r="B51" s="35"/>
    </row>
    <row r="52" spans="1:4" x14ac:dyDescent="0.2">
      <c r="A52" s="1"/>
      <c r="B52" s="35"/>
      <c r="C52" s="35"/>
      <c r="D52" s="35"/>
    </row>
    <row r="53" spans="1:4" x14ac:dyDescent="0.2">
      <c r="A53" s="1" t="s">
        <v>91</v>
      </c>
      <c r="B53" s="35"/>
      <c r="C53" s="35"/>
      <c r="D53" s="35"/>
    </row>
    <row r="54" spans="1:4" x14ac:dyDescent="0.2">
      <c r="A54" s="3" t="s">
        <v>92</v>
      </c>
      <c r="B54" s="34">
        <f>$B$10*$B$21</f>
        <v>15618750</v>
      </c>
      <c r="C54" s="36"/>
      <c r="D54" s="36"/>
    </row>
    <row r="55" spans="1:4" x14ac:dyDescent="0.2">
      <c r="A55" s="3" t="s">
        <v>93</v>
      </c>
      <c r="B55" s="34">
        <f>B13*B19</f>
        <v>0</v>
      </c>
      <c r="C55" s="36"/>
      <c r="D55" s="36"/>
    </row>
    <row r="56" spans="1:4" x14ac:dyDescent="0.2">
      <c r="A56" s="3" t="s">
        <v>94</v>
      </c>
      <c r="B56" s="34">
        <f>B54*$B$45+B55*$B$46</f>
        <v>780937.5</v>
      </c>
      <c r="C56" s="36"/>
      <c r="D56" s="36"/>
    </row>
    <row r="57" spans="1:4" x14ac:dyDescent="0.2">
      <c r="A57" s="3" t="s">
        <v>95</v>
      </c>
      <c r="B57" s="34">
        <f>B54+B55-B56</f>
        <v>14837812.5</v>
      </c>
      <c r="C57" s="36"/>
      <c r="D57" s="36"/>
    </row>
    <row r="58" spans="1:4" x14ac:dyDescent="0.2">
      <c r="B58" s="37"/>
      <c r="C58" s="36"/>
      <c r="D58" s="35"/>
    </row>
    <row r="59" spans="1:4" x14ac:dyDescent="0.2">
      <c r="A59" s="1" t="s">
        <v>49</v>
      </c>
      <c r="B59" s="34"/>
      <c r="C59" s="36"/>
      <c r="D59" s="35"/>
    </row>
    <row r="60" spans="1:4" x14ac:dyDescent="0.2">
      <c r="A60" s="3" t="s">
        <v>80</v>
      </c>
      <c r="B60" s="34">
        <f>B44</f>
        <v>100000</v>
      </c>
      <c r="C60" s="36"/>
      <c r="D60" s="35"/>
    </row>
    <row r="61" spans="1:4" x14ac:dyDescent="0.2">
      <c r="A61" s="3" t="s">
        <v>109</v>
      </c>
      <c r="B61" s="38">
        <f>B28</f>
        <v>20000</v>
      </c>
      <c r="C61" s="36"/>
      <c r="D61" s="35"/>
    </row>
    <row r="62" spans="1:4" x14ac:dyDescent="0.2">
      <c r="A62" s="3" t="s">
        <v>96</v>
      </c>
      <c r="B62" s="38">
        <f>B29</f>
        <v>75000</v>
      </c>
      <c r="C62" s="36"/>
      <c r="D62" s="35"/>
    </row>
    <row r="63" spans="1:4" x14ac:dyDescent="0.2">
      <c r="A63" s="3" t="s">
        <v>110</v>
      </c>
      <c r="B63" s="38">
        <f>B30</f>
        <v>0</v>
      </c>
      <c r="C63" s="36"/>
      <c r="D63" s="35"/>
    </row>
    <row r="64" spans="1:4" x14ac:dyDescent="0.2">
      <c r="A64" s="3" t="s">
        <v>111</v>
      </c>
      <c r="B64" s="38">
        <f t="shared" ref="B64" si="0">B31</f>
        <v>20000</v>
      </c>
      <c r="C64" s="36"/>
      <c r="D64" s="35"/>
    </row>
    <row r="65" spans="1:6" x14ac:dyDescent="0.2">
      <c r="A65" s="3" t="s">
        <v>55</v>
      </c>
      <c r="B65" s="38">
        <v>20000</v>
      </c>
      <c r="C65" s="36"/>
      <c r="D65" s="35"/>
    </row>
    <row r="66" spans="1:6" x14ac:dyDescent="0.2">
      <c r="A66" s="3" t="s">
        <v>56</v>
      </c>
      <c r="B66" s="34">
        <f>B18*B33</f>
        <v>6125000</v>
      </c>
      <c r="C66" s="36"/>
      <c r="D66" s="35"/>
    </row>
    <row r="67" spans="1:6" x14ac:dyDescent="0.2">
      <c r="A67" s="3" t="s">
        <v>59</v>
      </c>
      <c r="B67" s="34">
        <f>B34</f>
        <v>50000</v>
      </c>
      <c r="C67" s="36"/>
      <c r="D67" s="35"/>
    </row>
    <row r="68" spans="1:6" x14ac:dyDescent="0.2">
      <c r="A68" s="3" t="s">
        <v>97</v>
      </c>
      <c r="B68" s="34">
        <f>(B66+B67+B62)*B35</f>
        <v>750000</v>
      </c>
      <c r="C68" s="36"/>
      <c r="D68" s="35"/>
    </row>
    <row r="69" spans="1:6" x14ac:dyDescent="0.2">
      <c r="A69" s="3" t="s">
        <v>63</v>
      </c>
      <c r="B69" s="34">
        <f>SUM(B60:B68)*B36</f>
        <v>358000</v>
      </c>
      <c r="C69" s="36"/>
      <c r="D69" s="35"/>
    </row>
    <row r="70" spans="1:6" x14ac:dyDescent="0.2">
      <c r="A70" s="3" t="s">
        <v>112</v>
      </c>
      <c r="B70" s="34">
        <f>B37*B24</f>
        <v>39543</v>
      </c>
      <c r="C70" s="36"/>
      <c r="D70" s="35"/>
    </row>
    <row r="71" spans="1:6" x14ac:dyDescent="0.2">
      <c r="A71" s="3" t="s">
        <v>68</v>
      </c>
      <c r="B71" s="34">
        <f>B38*B24</f>
        <v>0</v>
      </c>
      <c r="C71" s="36"/>
      <c r="D71" s="35"/>
    </row>
    <row r="72" spans="1:6" x14ac:dyDescent="0.2">
      <c r="A72" s="3" t="s">
        <v>70</v>
      </c>
      <c r="B72" s="34">
        <f>B39*B18</f>
        <v>254660</v>
      </c>
      <c r="C72" s="36"/>
      <c r="D72" s="35"/>
    </row>
    <row r="73" spans="1:6" x14ac:dyDescent="0.2">
      <c r="A73" s="3" t="s">
        <v>115</v>
      </c>
      <c r="B73" s="32">
        <f>B48+B49</f>
        <v>28000</v>
      </c>
      <c r="C73" s="36"/>
      <c r="D73" s="35"/>
    </row>
    <row r="74" spans="1:6" x14ac:dyDescent="0.2">
      <c r="A74" s="3" t="s">
        <v>98</v>
      </c>
      <c r="B74" s="34">
        <f>SUM(B60:B73)*B40*0.5*D40</f>
        <v>352809.13500000001</v>
      </c>
      <c r="C74" s="36"/>
      <c r="D74" s="35"/>
    </row>
    <row r="75" spans="1:6" x14ac:dyDescent="0.2">
      <c r="A75" s="3" t="s">
        <v>99</v>
      </c>
      <c r="B75" s="34">
        <f>SUM(B60:B72)*B41</f>
        <v>58591.522499999999</v>
      </c>
      <c r="C75" s="36"/>
      <c r="D75" s="35"/>
    </row>
    <row r="76" spans="1:6" x14ac:dyDescent="0.2">
      <c r="A76" s="3" t="s">
        <v>100</v>
      </c>
      <c r="B76" s="34">
        <f>SUM(B60:B75)</f>
        <v>8251603.6574999997</v>
      </c>
      <c r="C76" s="36"/>
      <c r="D76" s="35"/>
      <c r="F76" s="32"/>
    </row>
    <row r="77" spans="1:6" x14ac:dyDescent="0.2">
      <c r="B77" s="34"/>
      <c r="C77" s="36"/>
      <c r="D77" s="35"/>
      <c r="F77" s="31"/>
    </row>
    <row r="78" spans="1:6" x14ac:dyDescent="0.2">
      <c r="A78" s="1" t="str">
        <f>A47</f>
        <v>Developer's Profit</v>
      </c>
      <c r="B78" s="34">
        <f>$B$47*(B54+B55)</f>
        <v>2342812.5</v>
      </c>
      <c r="C78" s="36"/>
      <c r="D78" s="36"/>
    </row>
    <row r="79" spans="1:6" x14ac:dyDescent="0.2">
      <c r="B79" s="39"/>
      <c r="C79" s="36"/>
      <c r="D79" s="35"/>
    </row>
    <row r="80" spans="1:6" x14ac:dyDescent="0.2">
      <c r="A80" s="1" t="s">
        <v>113</v>
      </c>
      <c r="B80" s="40">
        <f>(B57-B76-B78)</f>
        <v>4243396.3425000003</v>
      </c>
      <c r="C80" s="36"/>
      <c r="D80" s="36"/>
    </row>
    <row r="81" spans="1:4" x14ac:dyDescent="0.2">
      <c r="A81" s="3" t="s">
        <v>101</v>
      </c>
      <c r="B81" s="34">
        <f>B80*0.9*B40*(0.5+D40)</f>
        <v>458286.80498999998</v>
      </c>
      <c r="C81" s="36"/>
      <c r="D81" s="36"/>
    </row>
    <row r="82" spans="1:4" x14ac:dyDescent="0.2">
      <c r="A82" s="3" t="s">
        <v>102</v>
      </c>
      <c r="B82" s="34">
        <f>((B80-B81-200000)*0.02)+2000</f>
        <v>73702.19075020001</v>
      </c>
      <c r="C82" s="36"/>
      <c r="D82" s="36"/>
    </row>
    <row r="83" spans="1:4" x14ac:dyDescent="0.2">
      <c r="A83" s="1" t="s">
        <v>103</v>
      </c>
      <c r="B83" s="40">
        <f>B80-B81-B82</f>
        <v>3711407.3467598003</v>
      </c>
      <c r="C83" s="36"/>
      <c r="D83" s="36"/>
    </row>
    <row r="84" spans="1:4" x14ac:dyDescent="0.2">
      <c r="B84" s="34"/>
      <c r="C84" s="36"/>
      <c r="D84" s="35"/>
    </row>
    <row r="85" spans="1:4" x14ac:dyDescent="0.2">
      <c r="A85" s="1" t="s">
        <v>104</v>
      </c>
      <c r="B85" s="41">
        <f>B83/D16</f>
        <v>185.57036733799001</v>
      </c>
      <c r="C85" s="36"/>
      <c r="D85" s="35"/>
    </row>
    <row r="86" spans="1:4" x14ac:dyDescent="0.2">
      <c r="A86" s="1" t="s">
        <v>105</v>
      </c>
      <c r="B86" s="41">
        <f>B83/B18</f>
        <v>106.04020990742286</v>
      </c>
      <c r="C86" s="36"/>
      <c r="D86" s="35"/>
    </row>
    <row r="87" spans="1:4" x14ac:dyDescent="0.2">
      <c r="B87" s="24"/>
      <c r="C87" s="10"/>
    </row>
    <row r="88" spans="1:4" x14ac:dyDescent="0.2">
      <c r="A88" s="3" t="s">
        <v>106</v>
      </c>
    </row>
    <row r="89" spans="1:4" x14ac:dyDescent="0.2">
      <c r="A89" s="3" t="s">
        <v>117</v>
      </c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61" workbookViewId="0">
      <selection activeCell="C73" sqref="C73"/>
    </sheetView>
  </sheetViews>
  <sheetFormatPr defaultRowHeight="12.75" x14ac:dyDescent="0.2"/>
  <cols>
    <col min="1" max="1" width="64.28515625" style="3" customWidth="1"/>
    <col min="2" max="2" width="14.5703125" style="3" customWidth="1"/>
    <col min="3" max="3" width="35" style="3" customWidth="1"/>
    <col min="4" max="4" width="11.140625" style="3" bestFit="1" customWidth="1"/>
    <col min="5" max="5" width="8.140625" style="3" customWidth="1"/>
    <col min="6" max="6" width="21.42578125" style="3" customWidth="1"/>
    <col min="7" max="7" width="64.28515625" style="3" hidden="1" customWidth="1"/>
    <col min="8" max="16384" width="9.140625" style="3"/>
  </cols>
  <sheetData>
    <row r="1" spans="1:7" x14ac:dyDescent="0.2">
      <c r="A1" s="1" t="s">
        <v>119</v>
      </c>
    </row>
    <row r="2" spans="1:7" x14ac:dyDescent="0.2">
      <c r="A2" s="1" t="s">
        <v>120</v>
      </c>
      <c r="B2" s="2"/>
      <c r="C2" s="2"/>
      <c r="D2" s="2"/>
      <c r="E2" s="2"/>
      <c r="F2" s="2"/>
      <c r="G2" s="1" t="s">
        <v>0</v>
      </c>
    </row>
    <row r="3" spans="1:7" ht="13.5" thickBot="1" x14ac:dyDescent="0.25">
      <c r="A3" s="1" t="s">
        <v>107</v>
      </c>
      <c r="B3" s="2"/>
      <c r="C3" s="2"/>
      <c r="D3" s="2"/>
      <c r="E3" s="2"/>
      <c r="F3" s="2"/>
    </row>
    <row r="4" spans="1:7" ht="13.5" customHeight="1" x14ac:dyDescent="0.2">
      <c r="A4" s="1" t="s">
        <v>1</v>
      </c>
      <c r="B4" s="4"/>
      <c r="C4" s="2"/>
      <c r="D4" s="2"/>
      <c r="E4" s="2"/>
      <c r="F4" s="2"/>
      <c r="G4" s="5" t="s">
        <v>2</v>
      </c>
    </row>
    <row r="5" spans="1:7" ht="13.5" customHeight="1" x14ac:dyDescent="0.2">
      <c r="A5" s="1" t="s">
        <v>128</v>
      </c>
      <c r="B5" s="4"/>
      <c r="C5" s="2"/>
      <c r="D5" s="2"/>
      <c r="E5" s="2"/>
      <c r="F5" s="2"/>
      <c r="G5" s="45"/>
    </row>
    <row r="6" spans="1:7" x14ac:dyDescent="0.2">
      <c r="B6" s="6"/>
      <c r="C6" s="2"/>
      <c r="D6" s="2"/>
      <c r="E6" s="2"/>
      <c r="F6" s="2"/>
      <c r="G6" s="7"/>
    </row>
    <row r="7" spans="1:7" x14ac:dyDescent="0.2">
      <c r="A7" s="9" t="s">
        <v>3</v>
      </c>
      <c r="B7" s="1"/>
      <c r="G7" s="8" t="s">
        <v>4</v>
      </c>
    </row>
    <row r="8" spans="1:7" x14ac:dyDescent="0.2">
      <c r="A8" s="1"/>
      <c r="B8" s="1"/>
      <c r="G8" s="8" t="s">
        <v>5</v>
      </c>
    </row>
    <row r="9" spans="1:7" x14ac:dyDescent="0.2">
      <c r="A9" s="1" t="s">
        <v>6</v>
      </c>
      <c r="B9" s="1"/>
      <c r="D9" s="10"/>
      <c r="G9" s="8" t="s">
        <v>7</v>
      </c>
    </row>
    <row r="10" spans="1:7" x14ac:dyDescent="0.2">
      <c r="A10" s="3" t="s">
        <v>8</v>
      </c>
      <c r="B10" s="11">
        <v>525</v>
      </c>
      <c r="C10" s="10" t="s">
        <v>9</v>
      </c>
      <c r="G10" s="7" t="s">
        <v>10</v>
      </c>
    </row>
    <row r="11" spans="1:7" x14ac:dyDescent="0.2">
      <c r="A11" s="3" t="s">
        <v>11</v>
      </c>
      <c r="B11" s="11">
        <v>0</v>
      </c>
      <c r="C11" s="10" t="s">
        <v>12</v>
      </c>
      <c r="G11" s="8" t="s">
        <v>13</v>
      </c>
    </row>
    <row r="12" spans="1:7" x14ac:dyDescent="0.2">
      <c r="A12" s="3" t="s">
        <v>14</v>
      </c>
      <c r="B12" s="12">
        <v>6.5000000000000002E-2</v>
      </c>
      <c r="C12" s="10"/>
      <c r="G12" s="7" t="s">
        <v>15</v>
      </c>
    </row>
    <row r="13" spans="1:7" x14ac:dyDescent="0.2">
      <c r="A13" s="3" t="s">
        <v>16</v>
      </c>
      <c r="B13" s="11">
        <f>B11/B12</f>
        <v>0</v>
      </c>
      <c r="C13" s="10" t="s">
        <v>17</v>
      </c>
      <c r="G13" s="8" t="s">
        <v>18</v>
      </c>
    </row>
    <row r="14" spans="1:7" x14ac:dyDescent="0.2">
      <c r="C14" s="10"/>
      <c r="G14" s="7" t="s">
        <v>19</v>
      </c>
    </row>
    <row r="15" spans="1:7" x14ac:dyDescent="0.2">
      <c r="A15" s="1" t="s">
        <v>20</v>
      </c>
      <c r="G15" s="8" t="s">
        <v>21</v>
      </c>
    </row>
    <row r="16" spans="1:7" x14ac:dyDescent="0.2">
      <c r="A16" s="3" t="s">
        <v>22</v>
      </c>
      <c r="B16" s="14">
        <f>D16/43560</f>
        <v>0.4591368227731864</v>
      </c>
      <c r="C16" s="3" t="s">
        <v>23</v>
      </c>
      <c r="D16" s="15">
        <v>20000</v>
      </c>
      <c r="E16" s="3" t="s">
        <v>24</v>
      </c>
      <c r="G16" s="7" t="s">
        <v>25</v>
      </c>
    </row>
    <row r="17" spans="1:7" x14ac:dyDescent="0.2">
      <c r="A17" s="3" t="s">
        <v>27</v>
      </c>
      <c r="B17" s="14">
        <v>1.75</v>
      </c>
      <c r="C17" s="3" t="s">
        <v>26</v>
      </c>
      <c r="G17" s="7" t="s">
        <v>28</v>
      </c>
    </row>
    <row r="18" spans="1:7" x14ac:dyDescent="0.2">
      <c r="A18" s="3" t="s">
        <v>29</v>
      </c>
      <c r="B18" s="16">
        <f>D16*B17</f>
        <v>35000</v>
      </c>
      <c r="C18" s="3" t="s">
        <v>30</v>
      </c>
      <c r="G18" s="8" t="s">
        <v>31</v>
      </c>
    </row>
    <row r="19" spans="1:7" x14ac:dyDescent="0.2">
      <c r="A19" s="3" t="s">
        <v>32</v>
      </c>
      <c r="B19" s="17">
        <v>0</v>
      </c>
      <c r="C19" s="3" t="s">
        <v>30</v>
      </c>
      <c r="G19" s="7" t="s">
        <v>33</v>
      </c>
    </row>
    <row r="20" spans="1:7" ht="13.5" thickBot="1" x14ac:dyDescent="0.25">
      <c r="A20" s="3" t="s">
        <v>34</v>
      </c>
      <c r="B20" s="16">
        <f>B18-B19</f>
        <v>35000</v>
      </c>
      <c r="C20" s="3" t="s">
        <v>35</v>
      </c>
      <c r="G20" s="18" t="s">
        <v>18</v>
      </c>
    </row>
    <row r="21" spans="1:7" ht="13.5" thickBot="1" x14ac:dyDescent="0.25">
      <c r="A21" s="3" t="s">
        <v>36</v>
      </c>
      <c r="B21" s="16">
        <f>B20*D23</f>
        <v>29750</v>
      </c>
      <c r="C21" s="3" t="s">
        <v>30</v>
      </c>
    </row>
    <row r="22" spans="1:7" x14ac:dyDescent="0.2">
      <c r="A22" s="3" t="s">
        <v>37</v>
      </c>
      <c r="B22" s="16">
        <f>B20/B24</f>
        <v>714.28571428571433</v>
      </c>
      <c r="C22" s="3" t="s">
        <v>30</v>
      </c>
      <c r="D22" s="2"/>
      <c r="G22" s="19" t="s">
        <v>38</v>
      </c>
    </row>
    <row r="23" spans="1:7" x14ac:dyDescent="0.2">
      <c r="A23" s="3" t="s">
        <v>39</v>
      </c>
      <c r="B23" s="16">
        <f>(B20*D23)/B24</f>
        <v>607.14285714285711</v>
      </c>
      <c r="C23" s="3" t="s">
        <v>30</v>
      </c>
      <c r="D23" s="12">
        <v>0.85</v>
      </c>
      <c r="E23" s="3" t="s">
        <v>40</v>
      </c>
      <c r="G23" s="20" t="s">
        <v>41</v>
      </c>
    </row>
    <row r="24" spans="1:7" x14ac:dyDescent="0.2">
      <c r="A24" s="3" t="s">
        <v>42</v>
      </c>
      <c r="B24" s="13">
        <v>49</v>
      </c>
      <c r="C24" s="3" t="s">
        <v>43</v>
      </c>
      <c r="D24" s="15">
        <f>B24/B16</f>
        <v>106.72200000000001</v>
      </c>
      <c r="E24" s="3" t="s">
        <v>44</v>
      </c>
      <c r="G24" s="20" t="s">
        <v>45</v>
      </c>
    </row>
    <row r="25" spans="1:7" x14ac:dyDescent="0.2">
      <c r="A25" s="3" t="s">
        <v>108</v>
      </c>
      <c r="B25" s="13">
        <v>82</v>
      </c>
      <c r="C25" s="3" t="s">
        <v>46</v>
      </c>
      <c r="D25" s="16"/>
      <c r="G25" s="20" t="s">
        <v>47</v>
      </c>
    </row>
    <row r="26" spans="1:7" x14ac:dyDescent="0.2">
      <c r="B26" s="13"/>
      <c r="D26" s="16"/>
      <c r="G26" s="20"/>
    </row>
    <row r="27" spans="1:7" ht="13.5" thickBot="1" x14ac:dyDescent="0.25">
      <c r="A27" s="1" t="s">
        <v>122</v>
      </c>
      <c r="B27" s="16"/>
      <c r="D27" s="16"/>
      <c r="G27" s="21" t="s">
        <v>48</v>
      </c>
    </row>
    <row r="28" spans="1:7" x14ac:dyDescent="0.2">
      <c r="A28" s="3" t="s">
        <v>121</v>
      </c>
      <c r="B28" s="11">
        <v>3706000</v>
      </c>
      <c r="D28" s="16"/>
      <c r="G28" s="42"/>
    </row>
    <row r="29" spans="1:7" x14ac:dyDescent="0.2">
      <c r="A29" s="3" t="s">
        <v>114</v>
      </c>
      <c r="B29" s="11">
        <f>2000+((B28-200000)*0.02)</f>
        <v>72120</v>
      </c>
      <c r="D29" s="16"/>
      <c r="G29" s="42"/>
    </row>
    <row r="30" spans="1:7" x14ac:dyDescent="0.2">
      <c r="A30" s="3" t="s">
        <v>123</v>
      </c>
      <c r="B30" s="11">
        <f>(B29+B28)*B45*(D45+0.5)</f>
        <v>453374.39999999997</v>
      </c>
      <c r="G30" s="42"/>
    </row>
    <row r="31" spans="1:7" x14ac:dyDescent="0.2">
      <c r="B31" s="16"/>
      <c r="D31" s="16"/>
      <c r="G31" s="42"/>
    </row>
    <row r="32" spans="1:7" ht="13.5" thickBot="1" x14ac:dyDescent="0.25">
      <c r="A32" s="1" t="s">
        <v>49</v>
      </c>
    </row>
    <row r="33" spans="1:7" x14ac:dyDescent="0.2">
      <c r="A33" s="3" t="s">
        <v>50</v>
      </c>
      <c r="B33" s="22">
        <v>20000</v>
      </c>
      <c r="G33" s="19" t="s">
        <v>51</v>
      </c>
    </row>
    <row r="34" spans="1:7" x14ac:dyDescent="0.2">
      <c r="A34" s="3" t="s">
        <v>52</v>
      </c>
      <c r="B34" s="11">
        <v>75000</v>
      </c>
    </row>
    <row r="35" spans="1:7" x14ac:dyDescent="0.2">
      <c r="A35" s="3" t="s">
        <v>53</v>
      </c>
      <c r="B35" s="11">
        <v>0</v>
      </c>
    </row>
    <row r="36" spans="1:7" x14ac:dyDescent="0.2">
      <c r="A36" s="3" t="s">
        <v>54</v>
      </c>
      <c r="B36" s="11">
        <v>20000</v>
      </c>
      <c r="G36" s="20"/>
    </row>
    <row r="37" spans="1:7" x14ac:dyDescent="0.2">
      <c r="A37" s="3" t="s">
        <v>55</v>
      </c>
      <c r="B37" s="11">
        <v>20000</v>
      </c>
      <c r="G37" s="20"/>
    </row>
    <row r="38" spans="1:7" x14ac:dyDescent="0.2">
      <c r="A38" s="3" t="s">
        <v>56</v>
      </c>
      <c r="B38" s="11">
        <v>175</v>
      </c>
      <c r="C38" s="3" t="s">
        <v>57</v>
      </c>
      <c r="G38" s="25" t="s">
        <v>58</v>
      </c>
    </row>
    <row r="39" spans="1:7" x14ac:dyDescent="0.2">
      <c r="A39" s="3" t="s">
        <v>59</v>
      </c>
      <c r="B39" s="11">
        <v>50000</v>
      </c>
      <c r="G39" s="20" t="s">
        <v>60</v>
      </c>
    </row>
    <row r="40" spans="1:7" x14ac:dyDescent="0.2">
      <c r="A40" s="3" t="s">
        <v>97</v>
      </c>
      <c r="B40" s="12">
        <v>0.12</v>
      </c>
      <c r="C40" s="3" t="s">
        <v>61</v>
      </c>
      <c r="G40" s="25" t="s">
        <v>62</v>
      </c>
    </row>
    <row r="41" spans="1:7" ht="13.5" thickBot="1" x14ac:dyDescent="0.25">
      <c r="A41" s="3" t="s">
        <v>63</v>
      </c>
      <c r="B41" s="12">
        <v>0.05</v>
      </c>
      <c r="C41" s="3" t="s">
        <v>64</v>
      </c>
      <c r="G41" s="26" t="s">
        <v>65</v>
      </c>
    </row>
    <row r="42" spans="1:7" ht="13.5" thickBot="1" x14ac:dyDescent="0.25">
      <c r="A42" s="3" t="s">
        <v>66</v>
      </c>
      <c r="B42" s="23">
        <v>807</v>
      </c>
      <c r="C42" s="3" t="s">
        <v>67</v>
      </c>
    </row>
    <row r="43" spans="1:7" x14ac:dyDescent="0.2">
      <c r="A43" s="3" t="s">
        <v>68</v>
      </c>
      <c r="B43" s="23">
        <v>0</v>
      </c>
      <c r="C43" s="3" t="s">
        <v>67</v>
      </c>
      <c r="G43" s="19" t="s">
        <v>69</v>
      </c>
    </row>
    <row r="44" spans="1:7" ht="13.5" thickBot="1" x14ac:dyDescent="0.25">
      <c r="A44" s="3" t="s">
        <v>70</v>
      </c>
      <c r="B44" s="27">
        <v>7.2759999999999998</v>
      </c>
      <c r="C44" s="3" t="s">
        <v>71</v>
      </c>
      <c r="D44" s="3" t="s">
        <v>72</v>
      </c>
      <c r="E44" s="28">
        <f>B44*(B20/B24)</f>
        <v>5197.1428571428578</v>
      </c>
      <c r="F44" s="10" t="s">
        <v>73</v>
      </c>
      <c r="G44" s="21" t="s">
        <v>74</v>
      </c>
    </row>
    <row r="45" spans="1:7" x14ac:dyDescent="0.2">
      <c r="A45" s="3" t="s">
        <v>75</v>
      </c>
      <c r="B45" s="12">
        <v>0.06</v>
      </c>
      <c r="C45" s="3" t="s">
        <v>76</v>
      </c>
      <c r="D45" s="29">
        <v>1.5</v>
      </c>
      <c r="E45" s="3" t="s">
        <v>77</v>
      </c>
    </row>
    <row r="46" spans="1:7" x14ac:dyDescent="0.2">
      <c r="A46" s="3" t="s">
        <v>78</v>
      </c>
      <c r="B46" s="30">
        <v>7.4999999999999997E-3</v>
      </c>
      <c r="C46" s="31" t="s">
        <v>64</v>
      </c>
    </row>
    <row r="47" spans="1:7" x14ac:dyDescent="0.2">
      <c r="B47" s="32"/>
      <c r="C47" s="31"/>
    </row>
    <row r="48" spans="1:7" x14ac:dyDescent="0.2">
      <c r="A48" s="1" t="s">
        <v>79</v>
      </c>
      <c r="B48" s="32"/>
    </row>
    <row r="49" spans="1:4" x14ac:dyDescent="0.2">
      <c r="A49" s="3" t="s">
        <v>80</v>
      </c>
      <c r="B49" s="11">
        <v>100000</v>
      </c>
    </row>
    <row r="50" spans="1:4" x14ac:dyDescent="0.2">
      <c r="A50" s="3" t="s">
        <v>81</v>
      </c>
      <c r="B50" s="12">
        <v>0.05</v>
      </c>
      <c r="C50" s="3" t="s">
        <v>82</v>
      </c>
    </row>
    <row r="51" spans="1:4" x14ac:dyDescent="0.2">
      <c r="B51" s="12">
        <v>0</v>
      </c>
      <c r="C51" s="3" t="s">
        <v>83</v>
      </c>
    </row>
    <row r="52" spans="1:4" x14ac:dyDescent="0.2">
      <c r="A52" s="3" t="s">
        <v>87</v>
      </c>
      <c r="B52" s="11">
        <v>28000</v>
      </c>
      <c r="C52" s="3" t="s">
        <v>88</v>
      </c>
    </row>
    <row r="53" spans="1:4" x14ac:dyDescent="0.2">
      <c r="A53" s="3" t="s">
        <v>89</v>
      </c>
      <c r="B53" s="11">
        <v>0</v>
      </c>
      <c r="C53" s="3" t="s">
        <v>88</v>
      </c>
    </row>
    <row r="54" spans="1:4" x14ac:dyDescent="0.2">
      <c r="B54" s="31"/>
    </row>
    <row r="55" spans="1:4" x14ac:dyDescent="0.2">
      <c r="A55" s="9" t="s">
        <v>90</v>
      </c>
      <c r="B55" s="35"/>
    </row>
    <row r="56" spans="1:4" x14ac:dyDescent="0.2">
      <c r="A56" s="1"/>
      <c r="B56" s="35"/>
      <c r="C56" s="35"/>
      <c r="D56" s="35"/>
    </row>
    <row r="57" spans="1:4" x14ac:dyDescent="0.2">
      <c r="A57" s="1" t="s">
        <v>91</v>
      </c>
      <c r="B57" s="35"/>
      <c r="C57" s="35"/>
      <c r="D57" s="35"/>
    </row>
    <row r="58" spans="1:4" x14ac:dyDescent="0.2">
      <c r="A58" s="3" t="s">
        <v>92</v>
      </c>
      <c r="B58" s="34">
        <f>$B$10*$B$21</f>
        <v>15618750</v>
      </c>
      <c r="C58" s="36"/>
      <c r="D58" s="36"/>
    </row>
    <row r="59" spans="1:4" x14ac:dyDescent="0.2">
      <c r="A59" s="3" t="s">
        <v>93</v>
      </c>
      <c r="B59" s="34">
        <f>B13*B19</f>
        <v>0</v>
      </c>
      <c r="C59" s="36"/>
      <c r="D59" s="36"/>
    </row>
    <row r="60" spans="1:4" x14ac:dyDescent="0.2">
      <c r="A60" s="3" t="s">
        <v>94</v>
      </c>
      <c r="B60" s="34">
        <f>B58*$B$50+B59*$B$51</f>
        <v>780937.5</v>
      </c>
      <c r="C60" s="36"/>
      <c r="D60" s="36"/>
    </row>
    <row r="61" spans="1:4" x14ac:dyDescent="0.2">
      <c r="A61" s="3" t="s">
        <v>95</v>
      </c>
      <c r="B61" s="34">
        <f>B58+B59-B60</f>
        <v>14837812.5</v>
      </c>
      <c r="C61" s="36"/>
      <c r="D61" s="36"/>
    </row>
    <row r="62" spans="1:4" x14ac:dyDescent="0.2">
      <c r="B62" s="37"/>
      <c r="C62" s="36"/>
      <c r="D62" s="35"/>
    </row>
    <row r="63" spans="1:4" x14ac:dyDescent="0.2">
      <c r="A63" s="1" t="s">
        <v>122</v>
      </c>
      <c r="B63" s="37"/>
      <c r="C63" s="36"/>
      <c r="D63" s="35"/>
    </row>
    <row r="64" spans="1:4" x14ac:dyDescent="0.2">
      <c r="A64" s="3" t="s">
        <v>121</v>
      </c>
      <c r="B64" s="34">
        <v>3711000</v>
      </c>
      <c r="C64" s="36"/>
      <c r="D64" s="35"/>
    </row>
    <row r="65" spans="1:4" x14ac:dyDescent="0.2">
      <c r="A65" s="3" t="s">
        <v>114</v>
      </c>
      <c r="B65" s="34">
        <f>B29</f>
        <v>72120</v>
      </c>
      <c r="C65" s="36"/>
      <c r="D65" s="35"/>
    </row>
    <row r="66" spans="1:4" x14ac:dyDescent="0.2">
      <c r="A66" s="3" t="s">
        <v>123</v>
      </c>
      <c r="B66" s="34">
        <f>B30</f>
        <v>453374.39999999997</v>
      </c>
      <c r="C66" s="36"/>
      <c r="D66" s="35"/>
    </row>
    <row r="67" spans="1:4" x14ac:dyDescent="0.2">
      <c r="A67" s="3" t="s">
        <v>125</v>
      </c>
      <c r="B67" s="34">
        <f>B66+B65+B64</f>
        <v>4236494.4000000004</v>
      </c>
      <c r="C67" s="36"/>
      <c r="D67" s="35"/>
    </row>
    <row r="68" spans="1:4" x14ac:dyDescent="0.2">
      <c r="B68" s="37"/>
      <c r="C68" s="36"/>
      <c r="D68" s="35"/>
    </row>
    <row r="69" spans="1:4" x14ac:dyDescent="0.2">
      <c r="A69" s="1" t="s">
        <v>49</v>
      </c>
      <c r="B69" s="34"/>
      <c r="C69" s="36"/>
      <c r="D69" s="35"/>
    </row>
    <row r="70" spans="1:4" x14ac:dyDescent="0.2">
      <c r="A70" s="3" t="s">
        <v>80</v>
      </c>
      <c r="B70" s="34">
        <f>B49</f>
        <v>100000</v>
      </c>
      <c r="C70" s="36"/>
      <c r="D70" s="35"/>
    </row>
    <row r="71" spans="1:4" x14ac:dyDescent="0.2">
      <c r="A71" s="3" t="s">
        <v>109</v>
      </c>
      <c r="B71" s="38">
        <f>B33</f>
        <v>20000</v>
      </c>
      <c r="C71" s="36"/>
      <c r="D71" s="35"/>
    </row>
    <row r="72" spans="1:4" x14ac:dyDescent="0.2">
      <c r="A72" s="3" t="s">
        <v>96</v>
      </c>
      <c r="B72" s="38">
        <f>B34</f>
        <v>75000</v>
      </c>
      <c r="C72" s="36"/>
      <c r="D72" s="35"/>
    </row>
    <row r="73" spans="1:4" x14ac:dyDescent="0.2">
      <c r="A73" s="3" t="s">
        <v>110</v>
      </c>
      <c r="B73" s="38">
        <f>B35</f>
        <v>0</v>
      </c>
      <c r="C73" s="36"/>
      <c r="D73" s="35"/>
    </row>
    <row r="74" spans="1:4" x14ac:dyDescent="0.2">
      <c r="A74" s="3" t="s">
        <v>111</v>
      </c>
      <c r="B74" s="38">
        <f t="shared" ref="B74" si="0">B36</f>
        <v>20000</v>
      </c>
      <c r="C74" s="36"/>
      <c r="D74" s="35"/>
    </row>
    <row r="75" spans="1:4" x14ac:dyDescent="0.2">
      <c r="A75" s="3" t="s">
        <v>55</v>
      </c>
      <c r="B75" s="38">
        <f>B37</f>
        <v>20000</v>
      </c>
      <c r="C75" s="36"/>
      <c r="D75" s="35"/>
    </row>
    <row r="76" spans="1:4" x14ac:dyDescent="0.2">
      <c r="A76" s="3" t="s">
        <v>56</v>
      </c>
      <c r="B76" s="34">
        <f>B18*B38</f>
        <v>6125000</v>
      </c>
      <c r="C76" s="36"/>
      <c r="D76" s="35"/>
    </row>
    <row r="77" spans="1:4" x14ac:dyDescent="0.2">
      <c r="A77" s="3" t="s">
        <v>59</v>
      </c>
      <c r="B77" s="34">
        <f>B39</f>
        <v>50000</v>
      </c>
      <c r="C77" s="36"/>
      <c r="D77" s="35"/>
    </row>
    <row r="78" spans="1:4" x14ac:dyDescent="0.2">
      <c r="A78" s="3" t="s">
        <v>97</v>
      </c>
      <c r="B78" s="34">
        <f>(B76+B77+B72)*B40</f>
        <v>750000</v>
      </c>
      <c r="C78" s="36"/>
      <c r="D78" s="35"/>
    </row>
    <row r="79" spans="1:4" x14ac:dyDescent="0.2">
      <c r="A79" s="3" t="s">
        <v>63</v>
      </c>
      <c r="B79" s="34">
        <f>SUM(B70:B78)*B41</f>
        <v>358000</v>
      </c>
      <c r="C79" s="36"/>
      <c r="D79" s="35"/>
    </row>
    <row r="80" spans="1:4" x14ac:dyDescent="0.2">
      <c r="A80" s="3" t="s">
        <v>112</v>
      </c>
      <c r="B80" s="34">
        <f>B42*B24</f>
        <v>39543</v>
      </c>
      <c r="C80" s="36"/>
      <c r="D80" s="35"/>
    </row>
    <row r="81" spans="1:6" x14ac:dyDescent="0.2">
      <c r="A81" s="3" t="s">
        <v>68</v>
      </c>
      <c r="B81" s="34">
        <f>B43*B24</f>
        <v>0</v>
      </c>
      <c r="C81" s="36"/>
      <c r="D81" s="35"/>
    </row>
    <row r="82" spans="1:6" x14ac:dyDescent="0.2">
      <c r="A82" s="3" t="s">
        <v>70</v>
      </c>
      <c r="B82" s="34">
        <f>B44*B18</f>
        <v>254660</v>
      </c>
      <c r="C82" s="36"/>
      <c r="D82" s="35"/>
    </row>
    <row r="83" spans="1:6" x14ac:dyDescent="0.2">
      <c r="A83" s="3" t="s">
        <v>115</v>
      </c>
      <c r="B83" s="32">
        <f>B52+B53</f>
        <v>28000</v>
      </c>
      <c r="C83" s="36"/>
      <c r="D83" s="35"/>
    </row>
    <row r="84" spans="1:6" x14ac:dyDescent="0.2">
      <c r="A84" s="3" t="s">
        <v>98</v>
      </c>
      <c r="B84" s="34">
        <f>SUM(B70:B83)*B45*0.5*D45</f>
        <v>352809.13500000001</v>
      </c>
      <c r="C84" s="36"/>
      <c r="D84" s="35"/>
    </row>
    <row r="85" spans="1:6" x14ac:dyDescent="0.2">
      <c r="A85" s="3" t="s">
        <v>99</v>
      </c>
      <c r="B85" s="34">
        <f>SUM(B70:B82)*B46</f>
        <v>58591.522499999999</v>
      </c>
      <c r="C85" s="36"/>
      <c r="D85" s="35"/>
    </row>
    <row r="86" spans="1:6" x14ac:dyDescent="0.2">
      <c r="A86" s="3" t="s">
        <v>124</v>
      </c>
      <c r="B86" s="34">
        <f>SUM(B70:B85)</f>
        <v>8251603.6574999997</v>
      </c>
      <c r="C86" s="36"/>
      <c r="D86" s="35"/>
      <c r="F86" s="32"/>
    </row>
    <row r="87" spans="1:6" x14ac:dyDescent="0.2">
      <c r="B87" s="34"/>
      <c r="C87" s="36"/>
      <c r="D87" s="35"/>
      <c r="F87" s="31"/>
    </row>
    <row r="88" spans="1:6" x14ac:dyDescent="0.2">
      <c r="A88" s="1" t="s">
        <v>84</v>
      </c>
      <c r="B88" s="34">
        <f>B61-B67-B86</f>
        <v>2349714.4424999999</v>
      </c>
      <c r="C88" s="36"/>
      <c r="D88" s="36"/>
    </row>
    <row r="89" spans="1:6" x14ac:dyDescent="0.2">
      <c r="B89" s="39"/>
      <c r="C89" s="36"/>
      <c r="D89" s="35"/>
    </row>
    <row r="90" spans="1:6" x14ac:dyDescent="0.2">
      <c r="A90" s="1" t="s">
        <v>127</v>
      </c>
      <c r="B90" s="44">
        <f>B88/(B58+B59)</f>
        <v>0.15044190108043218</v>
      </c>
      <c r="C90" s="43"/>
      <c r="D90" s="36"/>
    </row>
    <row r="91" spans="1:6" x14ac:dyDescent="0.2">
      <c r="A91" s="1" t="s">
        <v>126</v>
      </c>
      <c r="B91" s="44">
        <f>B88/(B86+B67+B60)</f>
        <v>0.17708253416894951</v>
      </c>
      <c r="C91" s="36"/>
      <c r="D91" s="35"/>
    </row>
    <row r="92" spans="1:6" x14ac:dyDescent="0.2">
      <c r="B92" s="24"/>
      <c r="C92" s="10"/>
    </row>
    <row r="94" spans="1:6" x14ac:dyDescent="0.2">
      <c r="A94" s="3" t="s">
        <v>106</v>
      </c>
    </row>
    <row r="95" spans="1:6" x14ac:dyDescent="0.2">
      <c r="A95" s="3" t="s">
        <v>117</v>
      </c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residual</vt:lpstr>
      <vt:lpstr>development profit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</dc:creator>
  <cp:lastModifiedBy>DNV</cp:lastModifiedBy>
  <cp:lastPrinted>2012-07-30T17:02:42Z</cp:lastPrinted>
  <dcterms:created xsi:type="dcterms:W3CDTF">2012-03-02T20:45:33Z</dcterms:created>
  <dcterms:modified xsi:type="dcterms:W3CDTF">2016-01-04T20:52:18Z</dcterms:modified>
</cp:coreProperties>
</file>